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330" yWindow="15" windowWidth="11340" windowHeight="6540" firstSheet="1" activeTab="1"/>
  </bookViews>
  <sheets>
    <sheet name="pr elev i 2018 pris" sheetId="5" state="hidden" r:id="rId1"/>
    <sheet name="Stillinger" sheetId="9" r:id="rId2"/>
    <sheet name="Ark2" sheetId="2" r:id="rId3"/>
    <sheet name="Ark3" sheetId="3" r:id="rId4"/>
    <sheet name="Ark4" sheetId="4" r:id="rId5"/>
  </sheets>
  <calcPr calcId="152511"/>
</workbook>
</file>

<file path=xl/calcChain.xml><?xml version="1.0" encoding="utf-8"?>
<calcChain xmlns="http://schemas.openxmlformats.org/spreadsheetml/2006/main">
  <c r="H28" i="9" l="1"/>
  <c r="H29" i="9"/>
  <c r="H27" i="9"/>
  <c r="H25" i="9"/>
  <c r="H21" i="9"/>
  <c r="H20" i="9"/>
  <c r="H19" i="9"/>
  <c r="H17" i="9"/>
  <c r="H15" i="9"/>
  <c r="H14" i="9"/>
  <c r="H12" i="9"/>
  <c r="H11" i="9"/>
  <c r="H10" i="9"/>
  <c r="H9" i="9"/>
  <c r="H8" i="9"/>
  <c r="C29" i="9" l="1"/>
  <c r="C28" i="9"/>
  <c r="C27" i="9"/>
  <c r="C26" i="9"/>
  <c r="C25" i="9"/>
  <c r="C24" i="9"/>
  <c r="C22" i="9"/>
  <c r="C21" i="9"/>
  <c r="C20" i="9"/>
  <c r="C19" i="9"/>
  <c r="C17" i="9"/>
  <c r="C16" i="9"/>
  <c r="C14" i="9"/>
  <c r="C15" i="9"/>
  <c r="C12" i="9"/>
  <c r="C11" i="9"/>
  <c r="C10" i="9"/>
  <c r="C9" i="9"/>
  <c r="C8" i="9"/>
  <c r="C32" i="9" l="1"/>
  <c r="H26" i="9" l="1"/>
  <c r="H24" i="9"/>
  <c r="H22" i="9"/>
  <c r="H16" i="9"/>
  <c r="I32" i="9" l="1"/>
  <c r="H32" i="9"/>
  <c r="G32" i="9" l="1"/>
  <c r="F32" i="9" l="1"/>
  <c r="E32" i="9"/>
  <c r="D32" i="9"/>
  <c r="B32" i="9"/>
  <c r="H24" i="5" l="1"/>
  <c r="C27" i="5"/>
  <c r="H20" i="5"/>
  <c r="B27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27" i="5" l="1"/>
  <c r="H23" i="5"/>
  <c r="H26" i="5" s="1"/>
</calcChain>
</file>

<file path=xl/sharedStrings.xml><?xml version="1.0" encoding="utf-8"?>
<sst xmlns="http://schemas.openxmlformats.org/spreadsheetml/2006/main" count="88" uniqueCount="80">
  <si>
    <t>Budget 2018 pr. elev</t>
  </si>
  <si>
    <t>Elevtal 5.9.17</t>
  </si>
  <si>
    <t>Agerbæk Skole</t>
  </si>
  <si>
    <t>Alslev Skole</t>
  </si>
  <si>
    <t>Ansager Skole</t>
  </si>
  <si>
    <t>Blåvandshuk Skole</t>
  </si>
  <si>
    <t>Brorsonskolen</t>
  </si>
  <si>
    <t>Horne Skole</t>
  </si>
  <si>
    <t>Janderup Skole</t>
  </si>
  <si>
    <t>Lunde-Kvong</t>
  </si>
  <si>
    <t>Lykkesgård</t>
  </si>
  <si>
    <t xml:space="preserve">Nordenskov </t>
  </si>
  <si>
    <t>Næsbjerg</t>
  </si>
  <si>
    <t>Nr. Nebel</t>
  </si>
  <si>
    <t>Outrup Skole</t>
  </si>
  <si>
    <t>Sct. Jacobi</t>
  </si>
  <si>
    <t>Starup Skole</t>
  </si>
  <si>
    <t>Thorstrup Skole</t>
  </si>
  <si>
    <t>Tistrup Skole</t>
  </si>
  <si>
    <t>Ølgod Skole</t>
  </si>
  <si>
    <t>Årre Skole</t>
  </si>
  <si>
    <t>10iCampus</t>
  </si>
  <si>
    <t>I alt</t>
  </si>
  <si>
    <t>Budget 2018</t>
  </si>
  <si>
    <t>Budget pr. elev</t>
  </si>
  <si>
    <t>Udvendig vedligehold er budgetteret i en pulje under Plan og Teknik.</t>
  </si>
  <si>
    <t>Excl. specialklasser på Lykkesgårdsskolen, Tistrup skole, taleklassen og Entreen</t>
  </si>
  <si>
    <t xml:space="preserve">Budgettet indeholder alle udgifter på skolen, dvs. ledelse, lønninger, aktivitetesafhængige udgifter, </t>
  </si>
  <si>
    <t xml:space="preserve">grunde og bygninger samt rengøring. </t>
  </si>
  <si>
    <t>Udgifter til basisdansk og supplerende dansk samt specialundervisning er indeholdt i ovenstående</t>
  </si>
  <si>
    <t xml:space="preserve">Lønninger indeholder lærere, pædagoger, administrativ personale samt servicemedarbejdere. </t>
  </si>
  <si>
    <t xml:space="preserve">Vedr. puljer er der ingen centrale puljer, der fordeles til skolerne. </t>
  </si>
  <si>
    <t>Dok. 167014-17</t>
  </si>
  <si>
    <t>2018-pris</t>
  </si>
  <si>
    <t>På 032201 som ikke er med i udgift pr.elev:</t>
  </si>
  <si>
    <t>Skole IT-afd.</t>
  </si>
  <si>
    <t>Sp. Klasse Lykkesgård</t>
  </si>
  <si>
    <t>Sp. Klasse Tistrup</t>
  </si>
  <si>
    <t>Entreén</t>
  </si>
  <si>
    <t>Pædagogiske central</t>
  </si>
  <si>
    <t>Fælles udg./indtægter</t>
  </si>
  <si>
    <t>Taleklassen</t>
  </si>
  <si>
    <t>afstemning til øk-rapport</t>
  </si>
  <si>
    <t>Øk-rapport</t>
  </si>
  <si>
    <t>Diff.</t>
  </si>
  <si>
    <t xml:space="preserve">Antal </t>
  </si>
  <si>
    <t>Nuværende tildelingsmodel</t>
  </si>
  <si>
    <t>Forslag 3</t>
  </si>
  <si>
    <t>Skole</t>
  </si>
  <si>
    <t>elever</t>
  </si>
  <si>
    <t>Lærerstill.</t>
  </si>
  <si>
    <t>Pædagogstill.</t>
  </si>
  <si>
    <t>skoleåret 21/22</t>
  </si>
  <si>
    <t>Blåvandshuk skole</t>
  </si>
  <si>
    <t>Janderup skole</t>
  </si>
  <si>
    <t>Blåbjergskolen - Lunde/Kvong afd.</t>
  </si>
  <si>
    <t>Blåbjergskolen - Nr. Nebel afd.</t>
  </si>
  <si>
    <t xml:space="preserve">Outrup skole </t>
  </si>
  <si>
    <t>Lykkesgårdskolen</t>
  </si>
  <si>
    <t>Alslev skole</t>
  </si>
  <si>
    <t>Horne skole</t>
  </si>
  <si>
    <t>Thorstrup skole</t>
  </si>
  <si>
    <t>Tistrup skole</t>
  </si>
  <si>
    <t>Ølgod skole</t>
  </si>
  <si>
    <t>Agerbæk skole</t>
  </si>
  <si>
    <t>Ansager skole</t>
  </si>
  <si>
    <t>Næsbjerg skole</t>
  </si>
  <si>
    <t>Nordenskov skole</t>
  </si>
  <si>
    <t>Starup skole</t>
  </si>
  <si>
    <t>Årre skole</t>
  </si>
  <si>
    <t>incl. evt. skole-</t>
  </si>
  <si>
    <t>Ledelse i alt</t>
  </si>
  <si>
    <t>Med 1 still. grundtildeling og to-lærerordning på 6 timer</t>
  </si>
  <si>
    <t>Ovenstående er excl. Ledelse, aldersreduktion samt TR for skolelederne. Ledelse fremgår af selvstændig kolonne.</t>
  </si>
  <si>
    <t>leder*</t>
  </si>
  <si>
    <t>*Herfra skal fratrækkes 1,4% til sygdom- og barselspulje.</t>
  </si>
  <si>
    <t>Ovenstående er med 5% i socio-økonomi.</t>
  </si>
  <si>
    <t>Derudover tildeles midler til basisdansk, supplende dansk, specialundervisning, særlige støttebeløb, pedel og særlige tildelinger.</t>
  </si>
  <si>
    <t>Sammenligning af ny tildelingsmodel i forhold til nuværende tildelingsmodel med forventet elevtal i 2021/2022.</t>
  </si>
  <si>
    <t>Frelloskolen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</si>
</sst>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 * #,##0_ ;_ * \-#,##0_ ;_ * &quot;-&quot;??_ ;_ @_ 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4" fillId="0" borderId="0" applyFont="0" applyFill="0" applyBorder="0" applyAlignment="0" applyProtection="0"/>
  </cellStyleXfs>
  <cellXfs count="74">
    <xf numFmtId="0" fontId="0" fillId="0" borderId="0" xfId="0"/>
    <xf numFmtId="0" fontId="5" fillId="0" borderId="0" xfId="0" applyFont="1"/>
    <xf numFmtId="0" fontId="6" fillId="0" borderId="0" xfId="0" applyFont="1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3" fillId="0" borderId="4" xfId="1" applyBorder="1"/>
    <xf numFmtId="0" fontId="3" fillId="0" borderId="0" xfId="1" applyBorder="1"/>
    <xf numFmtId="0" fontId="3" fillId="0" borderId="4" xfId="1" applyFill="1" applyBorder="1"/>
    <xf numFmtId="0" fontId="3" fillId="0" borderId="0" xfId="1" applyFill="1" applyBorder="1"/>
    <xf numFmtId="0" fontId="3" fillId="0" borderId="5" xfId="1" applyBorder="1"/>
    <xf numFmtId="3" fontId="3" fillId="0" borderId="6" xfId="1" applyNumberFormat="1" applyBorder="1"/>
    <xf numFmtId="0" fontId="3" fillId="0" borderId="9" xfId="1" applyBorder="1"/>
    <xf numFmtId="0" fontId="6" fillId="0" borderId="9" xfId="0" applyFont="1" applyBorder="1"/>
    <xf numFmtId="0" fontId="3" fillId="0" borderId="1" xfId="1" applyFill="1" applyBorder="1"/>
    <xf numFmtId="0" fontId="3" fillId="0" borderId="2" xfId="1" applyFill="1" applyBorder="1"/>
    <xf numFmtId="165" fontId="0" fillId="0" borderId="0" xfId="2" applyNumberFormat="1" applyFont="1" applyBorder="1"/>
    <xf numFmtId="165" fontId="0" fillId="0" borderId="0" xfId="2" applyNumberFormat="1" applyFont="1" applyFill="1" applyBorder="1"/>
    <xf numFmtId="165" fontId="0" fillId="0" borderId="6" xfId="2" applyNumberFormat="1" applyFont="1" applyBorder="1"/>
    <xf numFmtId="0" fontId="2" fillId="0" borderId="8" xfId="1" applyFont="1" applyBorder="1"/>
    <xf numFmtId="3" fontId="0" fillId="0" borderId="0" xfId="0" applyNumberFormat="1"/>
    <xf numFmtId="3" fontId="0" fillId="0" borderId="10" xfId="0" applyNumberFormat="1" applyBorder="1"/>
    <xf numFmtId="0" fontId="4" fillId="0" borderId="0" xfId="0" applyFont="1"/>
    <xf numFmtId="0" fontId="0" fillId="0" borderId="11" xfId="0" applyBorder="1"/>
    <xf numFmtId="0" fontId="8" fillId="0" borderId="0" xfId="0" applyFont="1"/>
    <xf numFmtId="0" fontId="7" fillId="0" borderId="0" xfId="0" applyFont="1"/>
    <xf numFmtId="0" fontId="9" fillId="0" borderId="0" xfId="0" applyFont="1"/>
    <xf numFmtId="0" fontId="0" fillId="0" borderId="1" xfId="0" applyBorder="1"/>
    <xf numFmtId="0" fontId="0" fillId="0" borderId="13" xfId="0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0" fillId="0" borderId="4" xfId="0" applyNumberFormat="1" applyBorder="1"/>
    <xf numFmtId="2" fontId="0" fillId="0" borderId="11" xfId="0" applyNumberFormat="1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5" xfId="0" applyBorder="1"/>
    <xf numFmtId="0" fontId="0" fillId="0" borderId="14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0" borderId="4" xfId="0" applyFont="1" applyBorder="1"/>
    <xf numFmtId="0" fontId="4" fillId="0" borderId="12" xfId="0" applyFont="1" applyFill="1" applyBorder="1" applyAlignment="1">
      <alignment horizontal="center"/>
    </xf>
    <xf numFmtId="2" fontId="0" fillId="0" borderId="0" xfId="0" applyNumberFormat="1" applyFill="1" applyBorder="1"/>
    <xf numFmtId="2" fontId="0" fillId="0" borderId="0" xfId="0" applyNumberFormat="1" applyBorder="1"/>
    <xf numFmtId="0" fontId="0" fillId="0" borderId="12" xfId="0" applyFont="1" applyFill="1" applyBorder="1" applyAlignment="1">
      <alignment horizontal="center"/>
    </xf>
    <xf numFmtId="0" fontId="4" fillId="0" borderId="1" xfId="0" applyFont="1" applyBorder="1"/>
    <xf numFmtId="0" fontId="4" fillId="0" borderId="13" xfId="0" applyFont="1" applyFill="1" applyBorder="1" applyAlignment="1">
      <alignment horizontal="center"/>
    </xf>
    <xf numFmtId="2" fontId="0" fillId="0" borderId="1" xfId="0" applyNumberFormat="1" applyBorder="1"/>
    <xf numFmtId="2" fontId="0" fillId="0" borderId="3" xfId="0" applyNumberFormat="1" applyBorder="1"/>
    <xf numFmtId="2" fontId="0" fillId="0" borderId="2" xfId="0" applyNumberFormat="1" applyBorder="1"/>
    <xf numFmtId="0" fontId="4" fillId="0" borderId="5" xfId="0" applyFont="1" applyBorder="1"/>
    <xf numFmtId="2" fontId="0" fillId="0" borderId="7" xfId="0" applyNumberFormat="1" applyBorder="1"/>
    <xf numFmtId="2" fontId="0" fillId="0" borderId="6" xfId="0" applyNumberFormat="1" applyBorder="1"/>
    <xf numFmtId="0" fontId="10" fillId="0" borderId="0" xfId="0" applyFont="1"/>
    <xf numFmtId="0" fontId="4" fillId="0" borderId="2" xfId="0" applyFont="1" applyBorder="1" applyAlignment="1">
      <alignment horizontal="center"/>
    </xf>
    <xf numFmtId="2" fontId="4" fillId="0" borderId="4" xfId="0" applyNumberFormat="1" applyFont="1" applyBorder="1"/>
    <xf numFmtId="2" fontId="4" fillId="0" borderId="11" xfId="0" applyNumberFormat="1" applyFont="1" applyBorder="1"/>
    <xf numFmtId="2" fontId="4" fillId="0" borderId="3" xfId="0" applyNumberFormat="1" applyFont="1" applyBorder="1"/>
    <xf numFmtId="2" fontId="4" fillId="0" borderId="7" xfId="0" applyNumberFormat="1" applyFont="1" applyBorder="1"/>
    <xf numFmtId="0" fontId="4" fillId="0" borderId="11" xfId="0" applyFont="1" applyBorder="1"/>
    <xf numFmtId="2" fontId="4" fillId="0" borderId="1" xfId="0" applyNumberFormat="1" applyFont="1" applyBorder="1"/>
    <xf numFmtId="2" fontId="4" fillId="0" borderId="5" xfId="0" applyNumberFormat="1" applyFont="1" applyBorder="1"/>
    <xf numFmtId="0" fontId="4" fillId="0" borderId="14" xfId="0" applyFont="1" applyFill="1" applyBorder="1" applyAlignment="1">
      <alignment horizontal="center"/>
    </xf>
    <xf numFmtId="0" fontId="1" fillId="0" borderId="0" xfId="1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3">
    <cellStyle name="K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workbookViewId="0">
      <selection activeCell="D15" sqref="D15"/>
    </sheetView>
  </sheetViews>
  <sheetFormatPr defaultRowHeight="12.75" x14ac:dyDescent="0.2"/>
  <cols>
    <col min="1" max="1" width="19" customWidth="1"/>
    <col min="2" max="2" width="12.28515625" customWidth="1"/>
    <col min="3" max="3" width="14.42578125" customWidth="1"/>
    <col min="4" max="4" width="13.7109375" customWidth="1"/>
    <col min="7" max="7" width="20.85546875" customWidth="1"/>
    <col min="8" max="8" width="11.5703125" customWidth="1"/>
  </cols>
  <sheetData>
    <row r="1" spans="1:8" ht="15" x14ac:dyDescent="0.2">
      <c r="A1" s="1" t="s">
        <v>0</v>
      </c>
    </row>
    <row r="4" spans="1:8" ht="15" x14ac:dyDescent="0.25">
      <c r="A4" s="19" t="s">
        <v>33</v>
      </c>
      <c r="B4" s="12" t="s">
        <v>1</v>
      </c>
      <c r="C4" s="13" t="s">
        <v>23</v>
      </c>
      <c r="D4" s="13" t="s">
        <v>24</v>
      </c>
    </row>
    <row r="5" spans="1:8" x14ac:dyDescent="0.2">
      <c r="A5" s="4"/>
      <c r="B5" s="5"/>
      <c r="C5" s="5"/>
      <c r="D5" s="5"/>
    </row>
    <row r="6" spans="1:8" ht="15" x14ac:dyDescent="0.25">
      <c r="A6" s="6" t="s">
        <v>2</v>
      </c>
      <c r="B6" s="7">
        <v>258</v>
      </c>
      <c r="C6" s="16">
        <v>15907830</v>
      </c>
      <c r="D6" s="16">
        <f t="shared" ref="D6:D25" si="0">C6/B6</f>
        <v>61658.255813953489</v>
      </c>
    </row>
    <row r="7" spans="1:8" ht="15" x14ac:dyDescent="0.25">
      <c r="A7" s="6" t="s">
        <v>3</v>
      </c>
      <c r="B7" s="7">
        <v>181</v>
      </c>
      <c r="C7" s="16">
        <v>11641670</v>
      </c>
      <c r="D7" s="16">
        <f t="shared" si="0"/>
        <v>64318.618784530387</v>
      </c>
    </row>
    <row r="8" spans="1:8" ht="15" x14ac:dyDescent="0.25">
      <c r="A8" s="6" t="s">
        <v>4</v>
      </c>
      <c r="B8" s="7">
        <v>203</v>
      </c>
      <c r="C8" s="16">
        <v>13360210</v>
      </c>
      <c r="D8" s="16">
        <f t="shared" si="0"/>
        <v>65813.842364532014</v>
      </c>
    </row>
    <row r="9" spans="1:8" ht="15" x14ac:dyDescent="0.25">
      <c r="A9" s="6" t="s">
        <v>5</v>
      </c>
      <c r="B9" s="7">
        <v>563</v>
      </c>
      <c r="C9" s="17">
        <v>31849610</v>
      </c>
      <c r="D9" s="16">
        <f t="shared" si="0"/>
        <v>56571.243339253997</v>
      </c>
    </row>
    <row r="10" spans="1:8" ht="15" x14ac:dyDescent="0.25">
      <c r="A10" s="6" t="s">
        <v>6</v>
      </c>
      <c r="B10" s="7">
        <v>683</v>
      </c>
      <c r="C10" s="17">
        <v>36599330</v>
      </c>
      <c r="D10" s="16">
        <f t="shared" si="0"/>
        <v>53586.134699853588</v>
      </c>
    </row>
    <row r="11" spans="1:8" ht="15" x14ac:dyDescent="0.25">
      <c r="A11" s="6" t="s">
        <v>7</v>
      </c>
      <c r="B11" s="7">
        <v>84</v>
      </c>
      <c r="C11" s="17">
        <v>5742540</v>
      </c>
      <c r="D11" s="16">
        <f t="shared" si="0"/>
        <v>68363.571428571435</v>
      </c>
      <c r="G11" t="s">
        <v>34</v>
      </c>
    </row>
    <row r="12" spans="1:8" ht="15" x14ac:dyDescent="0.25">
      <c r="A12" s="6" t="s">
        <v>8</v>
      </c>
      <c r="B12" s="7">
        <v>106</v>
      </c>
      <c r="C12" s="17">
        <v>8175630</v>
      </c>
      <c r="D12" s="16">
        <f t="shared" si="0"/>
        <v>77128.584905660377</v>
      </c>
    </row>
    <row r="13" spans="1:8" ht="15" x14ac:dyDescent="0.25">
      <c r="A13" s="6" t="s">
        <v>9</v>
      </c>
      <c r="B13" s="7">
        <v>121</v>
      </c>
      <c r="C13" s="17">
        <v>7795220</v>
      </c>
      <c r="D13" s="16">
        <f t="shared" si="0"/>
        <v>64423.305785123965</v>
      </c>
      <c r="G13" t="s">
        <v>35</v>
      </c>
      <c r="H13" s="20">
        <v>6164400</v>
      </c>
    </row>
    <row r="14" spans="1:8" ht="15" x14ac:dyDescent="0.25">
      <c r="A14" s="6" t="s">
        <v>10</v>
      </c>
      <c r="B14" s="7">
        <v>439</v>
      </c>
      <c r="C14" s="17">
        <v>25866340</v>
      </c>
      <c r="D14" s="16">
        <f t="shared" si="0"/>
        <v>58921.047835990888</v>
      </c>
      <c r="G14" t="s">
        <v>37</v>
      </c>
      <c r="H14" s="20">
        <v>17288100</v>
      </c>
    </row>
    <row r="15" spans="1:8" ht="15" x14ac:dyDescent="0.25">
      <c r="A15" s="6" t="s">
        <v>11</v>
      </c>
      <c r="B15" s="7">
        <v>120</v>
      </c>
      <c r="C15" s="17">
        <v>8858150</v>
      </c>
      <c r="D15" s="16">
        <f t="shared" si="0"/>
        <v>73817.916666666672</v>
      </c>
      <c r="G15" t="s">
        <v>36</v>
      </c>
      <c r="H15" s="20">
        <v>24788740</v>
      </c>
    </row>
    <row r="16" spans="1:8" ht="15" x14ac:dyDescent="0.25">
      <c r="A16" s="8" t="s">
        <v>12</v>
      </c>
      <c r="B16" s="9">
        <v>260</v>
      </c>
      <c r="C16" s="17">
        <v>16588560</v>
      </c>
      <c r="D16" s="16">
        <f t="shared" si="0"/>
        <v>63802.153846153844</v>
      </c>
      <c r="G16" s="22" t="s">
        <v>41</v>
      </c>
      <c r="H16" s="20">
        <v>2797850</v>
      </c>
    </row>
    <row r="17" spans="1:8" ht="15" x14ac:dyDescent="0.25">
      <c r="A17" s="8" t="s">
        <v>13</v>
      </c>
      <c r="B17" s="9">
        <v>333</v>
      </c>
      <c r="C17" s="17">
        <v>19482340</v>
      </c>
      <c r="D17" s="16">
        <f t="shared" si="0"/>
        <v>58505.525525525525</v>
      </c>
      <c r="G17" t="s">
        <v>38</v>
      </c>
      <c r="H17" s="20">
        <v>2332870</v>
      </c>
    </row>
    <row r="18" spans="1:8" ht="15" x14ac:dyDescent="0.25">
      <c r="A18" s="8" t="s">
        <v>14</v>
      </c>
      <c r="B18" s="9">
        <v>146</v>
      </c>
      <c r="C18" s="17">
        <v>9893090</v>
      </c>
      <c r="D18" s="16">
        <f t="shared" si="0"/>
        <v>67760.890410958906</v>
      </c>
      <c r="G18" t="s">
        <v>39</v>
      </c>
      <c r="H18" s="20">
        <v>4792130</v>
      </c>
    </row>
    <row r="19" spans="1:8" ht="15" x14ac:dyDescent="0.25">
      <c r="A19" s="8" t="s">
        <v>15</v>
      </c>
      <c r="B19" s="9">
        <v>515</v>
      </c>
      <c r="C19" s="17">
        <v>28670690</v>
      </c>
      <c r="D19" s="16">
        <f t="shared" si="0"/>
        <v>55671.2427184466</v>
      </c>
      <c r="G19" t="s">
        <v>40</v>
      </c>
      <c r="H19" s="20">
        <v>12237760</v>
      </c>
    </row>
    <row r="20" spans="1:8" ht="15.75" thickBot="1" x14ac:dyDescent="0.3">
      <c r="A20" s="8" t="s">
        <v>16</v>
      </c>
      <c r="B20" s="9">
        <v>99</v>
      </c>
      <c r="C20" s="17">
        <v>6868540</v>
      </c>
      <c r="D20" s="16">
        <f t="shared" si="0"/>
        <v>69379.191919191915</v>
      </c>
      <c r="G20" t="s">
        <v>22</v>
      </c>
      <c r="H20" s="21">
        <f>SUM(H13:H19)</f>
        <v>70401850</v>
      </c>
    </row>
    <row r="21" spans="1:8" ht="15.75" thickTop="1" x14ac:dyDescent="0.25">
      <c r="A21" s="8" t="s">
        <v>17</v>
      </c>
      <c r="B21" s="9">
        <v>110</v>
      </c>
      <c r="C21" s="17">
        <v>8500920</v>
      </c>
      <c r="D21" s="16">
        <f t="shared" si="0"/>
        <v>77281.090909090912</v>
      </c>
    </row>
    <row r="22" spans="1:8" ht="15" x14ac:dyDescent="0.25">
      <c r="A22" s="8" t="s">
        <v>18</v>
      </c>
      <c r="B22" s="9">
        <v>248</v>
      </c>
      <c r="C22" s="17">
        <v>15690220</v>
      </c>
      <c r="D22" s="16">
        <f t="shared" si="0"/>
        <v>63267.016129032258</v>
      </c>
    </row>
    <row r="23" spans="1:8" ht="15" x14ac:dyDescent="0.25">
      <c r="A23" s="8" t="s">
        <v>19</v>
      </c>
      <c r="B23" s="9">
        <v>539</v>
      </c>
      <c r="C23" s="17">
        <v>30427360</v>
      </c>
      <c r="D23" s="16">
        <f t="shared" si="0"/>
        <v>56451.502782931355</v>
      </c>
      <c r="G23" s="22" t="s">
        <v>42</v>
      </c>
      <c r="H23" s="20">
        <f>C27+H20</f>
        <v>391407870</v>
      </c>
    </row>
    <row r="24" spans="1:8" ht="15" x14ac:dyDescent="0.25">
      <c r="A24" s="8" t="s">
        <v>20</v>
      </c>
      <c r="B24" s="9">
        <v>136</v>
      </c>
      <c r="C24" s="17">
        <v>9779610</v>
      </c>
      <c r="D24" s="16">
        <f t="shared" si="0"/>
        <v>71908.897058823524</v>
      </c>
      <c r="G24" s="22" t="s">
        <v>43</v>
      </c>
      <c r="H24" s="20">
        <f>3730+391404140</f>
        <v>391407870</v>
      </c>
    </row>
    <row r="25" spans="1:8" ht="15" x14ac:dyDescent="0.25">
      <c r="A25" s="8" t="s">
        <v>21</v>
      </c>
      <c r="B25" s="9">
        <v>142</v>
      </c>
      <c r="C25" s="17">
        <v>9308160</v>
      </c>
      <c r="D25" s="16">
        <f t="shared" si="0"/>
        <v>65550.42253521127</v>
      </c>
    </row>
    <row r="26" spans="1:8" ht="15" x14ac:dyDescent="0.25">
      <c r="A26" s="14"/>
      <c r="B26" s="15"/>
      <c r="C26" s="3"/>
      <c r="D26" s="3"/>
      <c r="G26" s="22" t="s">
        <v>44</v>
      </c>
      <c r="H26" s="20">
        <f>H23-H24</f>
        <v>0</v>
      </c>
    </row>
    <row r="27" spans="1:8" ht="15" x14ac:dyDescent="0.25">
      <c r="A27" s="10" t="s">
        <v>22</v>
      </c>
      <c r="B27" s="11">
        <f>SUM(B6:B26)</f>
        <v>5286</v>
      </c>
      <c r="C27" s="11">
        <f>SUM(C6:C26)</f>
        <v>321006020</v>
      </c>
      <c r="D27" s="18">
        <f>C27/B27</f>
        <v>60727.586076428299</v>
      </c>
    </row>
    <row r="30" spans="1:8" x14ac:dyDescent="0.2">
      <c r="A30" s="2" t="s">
        <v>27</v>
      </c>
    </row>
    <row r="31" spans="1:8" x14ac:dyDescent="0.2">
      <c r="A31" t="s">
        <v>28</v>
      </c>
    </row>
    <row r="32" spans="1:8" x14ac:dyDescent="0.2">
      <c r="A32" s="2" t="s">
        <v>30</v>
      </c>
    </row>
    <row r="33" spans="1:1" x14ac:dyDescent="0.2">
      <c r="A33" s="2" t="s">
        <v>25</v>
      </c>
    </row>
    <row r="35" spans="1:1" x14ac:dyDescent="0.2">
      <c r="A35" s="2" t="s">
        <v>29</v>
      </c>
    </row>
    <row r="36" spans="1:1" x14ac:dyDescent="0.2">
      <c r="A36" s="2" t="s">
        <v>26</v>
      </c>
    </row>
    <row r="38" spans="1:1" x14ac:dyDescent="0.2">
      <c r="A38" s="2" t="s">
        <v>31</v>
      </c>
    </row>
    <row r="40" spans="1:1" x14ac:dyDescent="0.2">
      <c r="A40" t="s">
        <v>32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A4" sqref="A4:B33"/>
    </sheetView>
  </sheetViews>
  <sheetFormatPr defaultRowHeight="12.75" x14ac:dyDescent="0.2"/>
  <cols>
    <col min="1" max="1" width="35.140625" customWidth="1"/>
    <col min="2" max="2" width="14.28515625" customWidth="1"/>
    <col min="3" max="3" width="14.28515625" style="22" customWidth="1"/>
    <col min="4" max="4" width="13.28515625" style="22" customWidth="1"/>
    <col min="5" max="6" width="13" hidden="1" customWidth="1"/>
    <col min="7" max="7" width="13" customWidth="1"/>
    <col min="8" max="8" width="14.42578125" customWidth="1"/>
    <col min="9" max="9" width="15.5703125" customWidth="1"/>
  </cols>
  <sheetData>
    <row r="1" spans="1:9" ht="15.75" x14ac:dyDescent="0.25">
      <c r="A1" s="24" t="s">
        <v>78</v>
      </c>
      <c r="B1" s="24"/>
    </row>
    <row r="2" spans="1:9" x14ac:dyDescent="0.2">
      <c r="A2" s="25"/>
      <c r="B2" s="26"/>
    </row>
    <row r="3" spans="1:9" x14ac:dyDescent="0.2">
      <c r="H3" s="22"/>
    </row>
    <row r="4" spans="1:9" ht="29.25" customHeight="1" x14ac:dyDescent="0.2">
      <c r="A4" s="27"/>
      <c r="B4" s="28" t="s">
        <v>45</v>
      </c>
      <c r="C4" s="71" t="s">
        <v>46</v>
      </c>
      <c r="D4" s="68"/>
      <c r="E4" s="67" t="s">
        <v>47</v>
      </c>
      <c r="F4" s="68"/>
      <c r="G4" s="57" t="s">
        <v>71</v>
      </c>
      <c r="H4" s="72" t="s">
        <v>72</v>
      </c>
      <c r="I4" s="73"/>
    </row>
    <row r="5" spans="1:9" x14ac:dyDescent="0.2">
      <c r="A5" s="4" t="s">
        <v>48</v>
      </c>
      <c r="B5" s="29" t="s">
        <v>49</v>
      </c>
      <c r="C5" s="58" t="s">
        <v>50</v>
      </c>
      <c r="D5" s="59" t="s">
        <v>51</v>
      </c>
      <c r="E5" s="32"/>
      <c r="F5" s="35"/>
      <c r="G5" s="29" t="s">
        <v>70</v>
      </c>
      <c r="H5" s="33" t="s">
        <v>50</v>
      </c>
      <c r="I5" s="34" t="s">
        <v>51</v>
      </c>
    </row>
    <row r="6" spans="1:9" x14ac:dyDescent="0.2">
      <c r="A6" s="36"/>
      <c r="B6" s="37" t="s">
        <v>52</v>
      </c>
      <c r="C6" s="69" t="s">
        <v>52</v>
      </c>
      <c r="D6" s="70"/>
      <c r="E6" s="41" t="s">
        <v>50</v>
      </c>
      <c r="F6" s="40" t="s">
        <v>51</v>
      </c>
      <c r="G6" s="38" t="s">
        <v>74</v>
      </c>
      <c r="H6" s="39"/>
      <c r="I6" s="40"/>
    </row>
    <row r="7" spans="1:9" x14ac:dyDescent="0.2">
      <c r="A7" s="4"/>
      <c r="B7" s="42"/>
      <c r="C7" s="43"/>
      <c r="D7" s="62"/>
      <c r="E7" s="5"/>
      <c r="F7" s="23"/>
      <c r="G7" s="5"/>
      <c r="H7" s="4"/>
      <c r="I7" s="23"/>
    </row>
    <row r="8" spans="1:9" x14ac:dyDescent="0.2">
      <c r="A8" s="43" t="s">
        <v>53</v>
      </c>
      <c r="B8" s="44">
        <v>519</v>
      </c>
      <c r="C8" s="58">
        <f>35.57*0.986</f>
        <v>35.072020000000002</v>
      </c>
      <c r="D8" s="59">
        <v>6.32</v>
      </c>
      <c r="E8" s="45">
        <v>38.229999999999997</v>
      </c>
      <c r="F8" s="31">
        <v>7</v>
      </c>
      <c r="G8" s="46">
        <v>2.77</v>
      </c>
      <c r="H8" s="30">
        <f>35.8*0.987</f>
        <v>35.334599999999995</v>
      </c>
      <c r="I8" s="31">
        <v>6.32</v>
      </c>
    </row>
    <row r="9" spans="1:9" x14ac:dyDescent="0.2">
      <c r="A9" s="43" t="s">
        <v>54</v>
      </c>
      <c r="B9" s="44">
        <v>107</v>
      </c>
      <c r="C9" s="58">
        <f>8.21*0.986</f>
        <v>8.0950600000000001</v>
      </c>
      <c r="D9" s="59">
        <v>1.7</v>
      </c>
      <c r="E9" s="45">
        <v>9.69</v>
      </c>
      <c r="F9" s="31">
        <v>2.09</v>
      </c>
      <c r="G9" s="46">
        <v>0.67</v>
      </c>
      <c r="H9" s="30">
        <f>8.15*0.987</f>
        <v>8.0440500000000004</v>
      </c>
      <c r="I9" s="31">
        <v>1.7</v>
      </c>
    </row>
    <row r="10" spans="1:9" x14ac:dyDescent="0.2">
      <c r="A10" s="4" t="s">
        <v>55</v>
      </c>
      <c r="B10" s="42">
        <v>101</v>
      </c>
      <c r="C10" s="58">
        <f>8.25*0.986</f>
        <v>8.1344999999999992</v>
      </c>
      <c r="D10" s="59">
        <v>1.6</v>
      </c>
      <c r="E10" s="46">
        <v>10.199999999999999</v>
      </c>
      <c r="F10" s="31">
        <v>1.99</v>
      </c>
      <c r="G10" s="46">
        <v>0.68</v>
      </c>
      <c r="H10" s="30">
        <f>8.31*0.987</f>
        <v>8.2019700000000011</v>
      </c>
      <c r="I10" s="31">
        <v>1.6</v>
      </c>
    </row>
    <row r="11" spans="1:9" x14ac:dyDescent="0.2">
      <c r="A11" s="4" t="s">
        <v>56</v>
      </c>
      <c r="B11" s="42">
        <v>264</v>
      </c>
      <c r="C11" s="58">
        <f>20.48*0.986</f>
        <v>20.193280000000001</v>
      </c>
      <c r="D11" s="59">
        <v>3.13</v>
      </c>
      <c r="E11" s="46">
        <v>24.14</v>
      </c>
      <c r="F11" s="31">
        <v>3.92</v>
      </c>
      <c r="G11" s="46">
        <v>2.21</v>
      </c>
      <c r="H11" s="30">
        <f>20.32*0.987</f>
        <v>20.05584</v>
      </c>
      <c r="I11" s="31">
        <v>3.13</v>
      </c>
    </row>
    <row r="12" spans="1:9" x14ac:dyDescent="0.2">
      <c r="A12" s="4" t="s">
        <v>57</v>
      </c>
      <c r="B12" s="42">
        <v>136</v>
      </c>
      <c r="C12" s="58">
        <f>10.82*0.986</f>
        <v>10.668520000000001</v>
      </c>
      <c r="D12" s="59">
        <v>2.31</v>
      </c>
      <c r="E12" s="46">
        <v>10.64</v>
      </c>
      <c r="F12" s="31">
        <v>2.29</v>
      </c>
      <c r="G12" s="46">
        <v>0.67</v>
      </c>
      <c r="H12" s="30">
        <f>10.95*0.987</f>
        <v>10.807649999999999</v>
      </c>
      <c r="I12" s="31">
        <v>2.31</v>
      </c>
    </row>
    <row r="13" spans="1:9" x14ac:dyDescent="0.2">
      <c r="A13" s="4"/>
      <c r="B13" s="42"/>
      <c r="C13" s="58"/>
      <c r="D13" s="59"/>
      <c r="E13" s="46"/>
      <c r="F13" s="31"/>
      <c r="G13" s="46"/>
      <c r="H13" s="30"/>
      <c r="I13" s="31"/>
    </row>
    <row r="14" spans="1:9" x14ac:dyDescent="0.2">
      <c r="A14" s="4" t="s">
        <v>79</v>
      </c>
      <c r="B14" s="42">
        <v>886</v>
      </c>
      <c r="C14" s="58">
        <f>(0.22+55.05)*0.986</f>
        <v>54.496219999999994</v>
      </c>
      <c r="D14" s="59">
        <v>10.4</v>
      </c>
      <c r="E14" s="46">
        <v>43.54</v>
      </c>
      <c r="F14" s="31">
        <v>8.6199999999999992</v>
      </c>
      <c r="G14" s="46">
        <v>3</v>
      </c>
      <c r="H14" s="30">
        <f>54.42*0.987</f>
        <v>53.712540000000004</v>
      </c>
      <c r="I14" s="31">
        <v>10.4</v>
      </c>
    </row>
    <row r="15" spans="1:9" x14ac:dyDescent="0.2">
      <c r="A15" s="4" t="s">
        <v>58</v>
      </c>
      <c r="B15" s="42">
        <v>584</v>
      </c>
      <c r="C15" s="58">
        <f>(0.1+40.01)*0.986</f>
        <v>39.548459999999999</v>
      </c>
      <c r="D15" s="59">
        <v>7.36</v>
      </c>
      <c r="E15" s="46">
        <v>29.75</v>
      </c>
      <c r="F15" s="31">
        <v>5.83</v>
      </c>
      <c r="G15" s="46">
        <v>2.5</v>
      </c>
      <c r="H15" s="30">
        <f>38.98*0.987</f>
        <v>38.473259999999996</v>
      </c>
      <c r="I15" s="31">
        <v>7.36</v>
      </c>
    </row>
    <row r="16" spans="1:9" x14ac:dyDescent="0.2">
      <c r="A16" s="4" t="s">
        <v>21</v>
      </c>
      <c r="B16" s="42">
        <v>111</v>
      </c>
      <c r="C16" s="58">
        <f>7.73*0.986</f>
        <v>7.6217800000000002</v>
      </c>
      <c r="D16" s="59">
        <v>0.8</v>
      </c>
      <c r="E16" s="46">
        <v>10.3</v>
      </c>
      <c r="F16" s="31">
        <v>1.3</v>
      </c>
      <c r="G16" s="46">
        <v>0.94</v>
      </c>
      <c r="H16" s="30">
        <f>7.51*0.986</f>
        <v>7.4048599999999993</v>
      </c>
      <c r="I16" s="31">
        <v>0.8</v>
      </c>
    </row>
    <row r="17" spans="1:9" x14ac:dyDescent="0.2">
      <c r="A17" s="4" t="s">
        <v>59</v>
      </c>
      <c r="B17" s="42">
        <v>191</v>
      </c>
      <c r="C17" s="58">
        <f>13.92*0.986</f>
        <v>13.72512</v>
      </c>
      <c r="D17" s="59">
        <v>2.98</v>
      </c>
      <c r="E17" s="46">
        <v>14.34</v>
      </c>
      <c r="F17" s="31">
        <v>3.18</v>
      </c>
      <c r="G17" s="46">
        <v>1.33</v>
      </c>
      <c r="H17" s="30">
        <f>13.73*0.987</f>
        <v>13.55151</v>
      </c>
      <c r="I17" s="31">
        <v>2.98</v>
      </c>
    </row>
    <row r="18" spans="1:9" x14ac:dyDescent="0.2">
      <c r="A18" s="4"/>
      <c r="B18" s="42"/>
      <c r="C18" s="58"/>
      <c r="D18" s="59"/>
      <c r="E18" s="46"/>
      <c r="F18" s="31"/>
      <c r="G18" s="46"/>
      <c r="H18" s="30"/>
      <c r="I18" s="31"/>
    </row>
    <row r="19" spans="1:9" x14ac:dyDescent="0.2">
      <c r="A19" s="43" t="s">
        <v>60</v>
      </c>
      <c r="B19" s="47">
        <v>74</v>
      </c>
      <c r="C19" s="58">
        <f>6.68*0.986</f>
        <v>6.5864799999999999</v>
      </c>
      <c r="D19" s="59">
        <v>1.27</v>
      </c>
      <c r="E19" s="46">
        <v>6.7</v>
      </c>
      <c r="F19" s="31">
        <v>1.23</v>
      </c>
      <c r="G19" s="46">
        <v>0.68</v>
      </c>
      <c r="H19" s="30">
        <f>6.46*0.987</f>
        <v>6.3760199999999996</v>
      </c>
      <c r="I19" s="31">
        <v>1.27</v>
      </c>
    </row>
    <row r="20" spans="1:9" x14ac:dyDescent="0.2">
      <c r="A20" s="43" t="s">
        <v>61</v>
      </c>
      <c r="B20" s="47">
        <v>101</v>
      </c>
      <c r="C20" s="58">
        <f>8.28*0.986</f>
        <v>8.1640799999999984</v>
      </c>
      <c r="D20" s="59">
        <v>1.47</v>
      </c>
      <c r="E20" s="46">
        <v>10.11</v>
      </c>
      <c r="F20" s="31">
        <v>2.12</v>
      </c>
      <c r="G20" s="46">
        <v>0.68</v>
      </c>
      <c r="H20" s="30">
        <f>8.01*0.987</f>
        <v>7.9058699999999993</v>
      </c>
      <c r="I20" s="31">
        <v>1.47</v>
      </c>
    </row>
    <row r="21" spans="1:9" x14ac:dyDescent="0.2">
      <c r="A21" s="43" t="s">
        <v>62</v>
      </c>
      <c r="B21" s="47">
        <v>276</v>
      </c>
      <c r="C21" s="58">
        <f>20.44*0.986</f>
        <v>20.153840000000002</v>
      </c>
      <c r="D21" s="59">
        <v>3.31</v>
      </c>
      <c r="E21" s="46">
        <v>18.03</v>
      </c>
      <c r="F21" s="31">
        <v>3.61</v>
      </c>
      <c r="G21" s="46">
        <v>2.21</v>
      </c>
      <c r="H21" s="30">
        <f>21.02*0.987</f>
        <v>20.746739999999999</v>
      </c>
      <c r="I21" s="31">
        <v>3.31</v>
      </c>
    </row>
    <row r="22" spans="1:9" x14ac:dyDescent="0.2">
      <c r="A22" s="43" t="s">
        <v>63</v>
      </c>
      <c r="B22" s="47">
        <v>462</v>
      </c>
      <c r="C22" s="58">
        <f>29.77*0.986</f>
        <v>29.35322</v>
      </c>
      <c r="D22" s="59">
        <v>5.65</v>
      </c>
      <c r="E22" s="46">
        <v>39.89</v>
      </c>
      <c r="F22" s="31">
        <v>7.68</v>
      </c>
      <c r="G22" s="46">
        <v>1.67</v>
      </c>
      <c r="H22" s="30">
        <f>31.77*0.986</f>
        <v>31.325219999999998</v>
      </c>
      <c r="I22" s="31">
        <v>5.65</v>
      </c>
    </row>
    <row r="23" spans="1:9" x14ac:dyDescent="0.2">
      <c r="A23" s="4"/>
      <c r="B23" s="42"/>
      <c r="C23" s="58"/>
      <c r="D23" s="59"/>
      <c r="E23" s="46"/>
      <c r="F23" s="31"/>
      <c r="G23" s="46"/>
      <c r="H23" s="30"/>
      <c r="I23" s="31"/>
    </row>
    <row r="24" spans="1:9" x14ac:dyDescent="0.2">
      <c r="A24" s="43" t="s">
        <v>64</v>
      </c>
      <c r="B24" s="47">
        <v>286</v>
      </c>
      <c r="C24" s="58">
        <f>22.77*0.986</f>
        <v>22.451219999999999</v>
      </c>
      <c r="D24" s="59">
        <v>4.13</v>
      </c>
      <c r="E24" s="46">
        <v>18.829999999999998</v>
      </c>
      <c r="F24" s="31">
        <v>3.32</v>
      </c>
      <c r="G24" s="46">
        <v>1.94</v>
      </c>
      <c r="H24" s="30">
        <f>23.14*0.986</f>
        <v>22.816040000000001</v>
      </c>
      <c r="I24" s="31">
        <v>4.13</v>
      </c>
    </row>
    <row r="25" spans="1:9" x14ac:dyDescent="0.2">
      <c r="A25" s="43" t="s">
        <v>65</v>
      </c>
      <c r="B25" s="47">
        <v>189</v>
      </c>
      <c r="C25" s="58">
        <f>15.3*0.986</f>
        <v>15.085800000000001</v>
      </c>
      <c r="D25" s="59">
        <v>2.71</v>
      </c>
      <c r="E25" s="46">
        <v>16.46</v>
      </c>
      <c r="F25" s="31">
        <v>3.39</v>
      </c>
      <c r="G25" s="46">
        <v>1.33</v>
      </c>
      <c r="H25" s="30">
        <f>14.9*0.987</f>
        <v>14.706300000000001</v>
      </c>
      <c r="I25" s="31">
        <v>2.71</v>
      </c>
    </row>
    <row r="26" spans="1:9" x14ac:dyDescent="0.2">
      <c r="A26" s="43" t="s">
        <v>66</v>
      </c>
      <c r="B26" s="47">
        <v>316</v>
      </c>
      <c r="C26" s="58">
        <f>23.26*0.986</f>
        <v>22.934360000000002</v>
      </c>
      <c r="D26" s="59">
        <v>4.22</v>
      </c>
      <c r="E26" s="46">
        <v>19.420000000000002</v>
      </c>
      <c r="F26" s="31">
        <v>3.78</v>
      </c>
      <c r="G26" s="46">
        <v>1.94</v>
      </c>
      <c r="H26" s="30">
        <f>22.87*0.986</f>
        <v>22.54982</v>
      </c>
      <c r="I26" s="31">
        <v>4.22</v>
      </c>
    </row>
    <row r="27" spans="1:9" x14ac:dyDescent="0.2">
      <c r="A27" s="43" t="s">
        <v>67</v>
      </c>
      <c r="B27" s="47">
        <v>113</v>
      </c>
      <c r="C27" s="58">
        <f>9.29*0.986</f>
        <v>9.1599399999999989</v>
      </c>
      <c r="D27" s="59">
        <v>1.98</v>
      </c>
      <c r="E27" s="46">
        <v>9.27</v>
      </c>
      <c r="F27" s="31">
        <v>1.81</v>
      </c>
      <c r="G27" s="46">
        <v>0.67</v>
      </c>
      <c r="H27" s="30">
        <f>9.6*0.987</f>
        <v>9.4751999999999992</v>
      </c>
      <c r="I27" s="31">
        <v>1.98</v>
      </c>
    </row>
    <row r="28" spans="1:9" x14ac:dyDescent="0.2">
      <c r="A28" s="43" t="s">
        <v>68</v>
      </c>
      <c r="B28" s="47">
        <v>83</v>
      </c>
      <c r="C28" s="58">
        <f>6.83*0.986</f>
        <v>6.7343799999999998</v>
      </c>
      <c r="D28" s="59">
        <v>1.2</v>
      </c>
      <c r="E28" s="46">
        <v>7.95</v>
      </c>
      <c r="F28" s="31">
        <v>1.48</v>
      </c>
      <c r="G28" s="46">
        <v>0.68</v>
      </c>
      <c r="H28" s="30">
        <f>6.86*0.987</f>
        <v>6.7708200000000005</v>
      </c>
      <c r="I28" s="31">
        <v>1.2</v>
      </c>
    </row>
    <row r="29" spans="1:9" x14ac:dyDescent="0.2">
      <c r="A29" s="43" t="s">
        <v>69</v>
      </c>
      <c r="B29" s="47">
        <v>133</v>
      </c>
      <c r="C29" s="58">
        <f>10.77*0.986</f>
        <v>10.61922</v>
      </c>
      <c r="D29" s="59">
        <v>2.1800000000000002</v>
      </c>
      <c r="E29" s="46">
        <v>10.49</v>
      </c>
      <c r="F29" s="31">
        <v>2.2200000000000002</v>
      </c>
      <c r="G29" s="46">
        <v>0.95</v>
      </c>
      <c r="H29" s="30">
        <f>10.68*0.987</f>
        <v>10.54116</v>
      </c>
      <c r="I29" s="31">
        <v>2.1800000000000002</v>
      </c>
    </row>
    <row r="30" spans="1:9" x14ac:dyDescent="0.2">
      <c r="A30" s="43"/>
      <c r="B30" s="44"/>
      <c r="C30" s="58"/>
      <c r="D30" s="59"/>
      <c r="E30" s="46"/>
      <c r="F30" s="31"/>
      <c r="G30" s="46"/>
      <c r="H30" s="30"/>
      <c r="I30" s="31"/>
    </row>
    <row r="31" spans="1:9" x14ac:dyDescent="0.2">
      <c r="A31" s="48"/>
      <c r="B31" s="49"/>
      <c r="C31" s="63"/>
      <c r="D31" s="60"/>
      <c r="E31" s="52"/>
      <c r="F31" s="51"/>
      <c r="G31" s="52"/>
      <c r="H31" s="50"/>
      <c r="I31" s="51"/>
    </row>
    <row r="32" spans="1:9" x14ac:dyDescent="0.2">
      <c r="A32" s="53" t="s">
        <v>22</v>
      </c>
      <c r="B32" s="65">
        <f t="shared" ref="B32:F32" si="0">SUM(B7:B31)</f>
        <v>4932</v>
      </c>
      <c r="C32" s="64">
        <f>SUM(C7:C31)</f>
        <v>348.79750000000001</v>
      </c>
      <c r="D32" s="61">
        <f t="shared" si="0"/>
        <v>64.72</v>
      </c>
      <c r="E32" s="55">
        <f t="shared" si="0"/>
        <v>347.97999999999996</v>
      </c>
      <c r="F32" s="54">
        <f t="shared" si="0"/>
        <v>66.859999999999985</v>
      </c>
      <c r="G32" s="55">
        <f>SUM(G7:G30)</f>
        <v>27.520000000000003</v>
      </c>
      <c r="H32" s="64">
        <f t="shared" ref="H32:I32" si="1">SUM(H7:H31)</f>
        <v>348.79946999999993</v>
      </c>
      <c r="I32" s="54">
        <f t="shared" si="1"/>
        <v>64.72</v>
      </c>
    </row>
    <row r="33" spans="1:7" ht="18" customHeight="1" x14ac:dyDescent="0.2">
      <c r="G33" s="22"/>
    </row>
    <row r="34" spans="1:7" ht="30.75" customHeight="1" x14ac:dyDescent="0.25">
      <c r="A34" s="66" t="s">
        <v>77</v>
      </c>
      <c r="B34" s="66"/>
      <c r="C34" s="66"/>
      <c r="D34" s="66"/>
      <c r="E34" s="66"/>
      <c r="F34" s="66"/>
      <c r="G34" s="66"/>
    </row>
    <row r="35" spans="1:7" x14ac:dyDescent="0.2">
      <c r="G35" s="22"/>
    </row>
    <row r="36" spans="1:7" x14ac:dyDescent="0.2">
      <c r="A36" s="22" t="s">
        <v>73</v>
      </c>
    </row>
    <row r="37" spans="1:7" s="56" customFormat="1" x14ac:dyDescent="0.2">
      <c r="A37" s="22" t="s">
        <v>75</v>
      </c>
      <c r="B37"/>
      <c r="C37" s="22"/>
      <c r="D37" s="22"/>
      <c r="E37"/>
    </row>
    <row r="38" spans="1:7" s="56" customFormat="1" x14ac:dyDescent="0.2"/>
    <row r="39" spans="1:7" s="56" customFormat="1" x14ac:dyDescent="0.2">
      <c r="A39" s="22" t="s">
        <v>76</v>
      </c>
    </row>
    <row r="40" spans="1:7" s="56" customFormat="1" x14ac:dyDescent="0.2"/>
    <row r="41" spans="1:7" x14ac:dyDescent="0.2">
      <c r="A41" s="56"/>
      <c r="B41" s="56"/>
      <c r="C41" s="56"/>
      <c r="D41" s="56"/>
      <c r="E41" s="56"/>
    </row>
  </sheetData>
  <mergeCells count="5">
    <mergeCell ref="A34:G34"/>
    <mergeCell ref="E4:F4"/>
    <mergeCell ref="C6:D6"/>
    <mergeCell ref="C4:D4"/>
    <mergeCell ref="H4:I4"/>
  </mergeCells>
  <pageMargins left="0.74803149606299213" right="0.74803149606299213" top="0.98425196850393704" bottom="0.98425196850393704" header="0.51181102362204722" footer="0.51181102362204722"/>
  <pageSetup paperSize="9" scale="86" orientation="landscape" r:id="rId1"/>
  <headerFooter alignWithMargins="0">
    <oddFooter>&amp;L&amp;F&amp;R7.  februar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3</SortOrder>
    <AccessLevelName xmlns="d08b57ff-b9b7-4581-975d-98f87b579a51">Åben</AccessLevelName>
    <EnclosureFileNumber xmlns="d08b57ff-b9b7-4581-975d-98f87b579a51">23312/18</EnclosureFileNumber>
    <MeetingStartDate xmlns="d08b57ff-b9b7-4581-975d-98f87b579a51">2018-02-20T12:00:00+00:00</MeetingStartDate>
    <AgendaId xmlns="d08b57ff-b9b7-4581-975d-98f87b579a51">7937</AgendaId>
    <AccessLevel xmlns="d08b57ff-b9b7-4581-975d-98f87b579a51">1</AccessLevel>
    <EnclosureType xmlns="d08b57ff-b9b7-4581-975d-98f87b579a51">Enclosure</EnclosureType>
    <CommitteeName xmlns="d08b57ff-b9b7-4581-975d-98f87b579a51">Udvalget for Børn og Læring</CommitteeName>
    <FusionId xmlns="d08b57ff-b9b7-4581-975d-98f87b579a51">2804996</FusionId>
    <DocumentType xmlns="d08b57ff-b9b7-4581-975d-98f87b579a51"/>
    <AgendaAccessLevelName xmlns="d08b57ff-b9b7-4581-975d-98f87b579a51">Åben</AgendaAccessLevelName>
    <UNC xmlns="d08b57ff-b9b7-4581-975d-98f87b579a51">2547332</UNC>
    <MeetingDateAndTime xmlns="d08b57ff-b9b7-4581-975d-98f87b579a51">20-02-2018 fra 13:00 - 18:00</MeetingDateAndTime>
    <MeetingTitle xmlns="d08b57ff-b9b7-4581-975d-98f87b579a51">20-02-2018</MeetingTitle>
    <MeetingEndDate xmlns="d08b57ff-b9b7-4581-975d-98f87b579a51">2018-02-20T17:00:00+00:00</MeetingEndDate>
    <PWDescription xmlns="d08b57ff-b9b7-4581-975d-98f87b579a51">Sammenligning af ny tildelingsmodell med elevtal i 2021-22 i forhold til nuværende tildelingsmodel</PWDescription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E7696F75-DCED-47C8-81F1-8A02E63F7FA1}"/>
</file>

<file path=customXml/itemProps2.xml><?xml version="1.0" encoding="utf-8"?>
<ds:datastoreItem xmlns:ds="http://schemas.openxmlformats.org/officeDocument/2006/customXml" ds:itemID="{7876A81D-B1E9-43EE-ACE9-BE30CFDF22DE}"/>
</file>

<file path=customXml/itemProps3.xml><?xml version="1.0" encoding="utf-8"?>
<ds:datastoreItem xmlns:ds="http://schemas.openxmlformats.org/officeDocument/2006/customXml" ds:itemID="{CE25C777-0182-42BA-92AA-54A37EA6CB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pr elev i 2018 pris</vt:lpstr>
      <vt:lpstr>Stillinger</vt:lpstr>
      <vt:lpstr>Ark2</vt:lpstr>
      <vt:lpstr>Ark3</vt:lpstr>
      <vt:lpstr>Ark4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-20-02-2018 - Bilag 22.03 Sammenligning af ny tildelingsmodel med elevtal i 2021-22</dc:title>
  <dc:creator>Lissy Andersen</dc:creator>
  <cp:lastModifiedBy>Lissy Andersen</cp:lastModifiedBy>
  <cp:lastPrinted>2018-02-20T12:40:05Z</cp:lastPrinted>
  <dcterms:created xsi:type="dcterms:W3CDTF">1996-11-12T13:28:11Z</dcterms:created>
  <dcterms:modified xsi:type="dcterms:W3CDTF">2018-05-02T10:46:51Z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fficeInstanceGUID">
    <vt:lpwstr>{9773B6AF-6DC0-48C2-9492-6CBD8A84DEB8}</vt:lpwstr>
  </property>
  <property fmtid="{D5CDD505-2E9C-101B-9397-08002B2CF9AE}" pid="3" name="ContentTypeId">
    <vt:lpwstr>0x0101003D7BFBD5F481E14985D820F2A1C38BC800C867DCA9723D5D41B98144D00A8161C2</vt:lpwstr>
  </property>
</Properties>
</file>